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ate1904="1" showInkAnnotation="0" autoCompressPictures="0"/>
  <mc:AlternateContent xmlns:mc="http://schemas.openxmlformats.org/markup-compatibility/2006">
    <mc:Choice Requires="x15">
      <x15ac:absPath xmlns:x15ac="http://schemas.microsoft.com/office/spreadsheetml/2010/11/ac" url="C:\Users\rsfraz0\Downloads\"/>
    </mc:Choice>
  </mc:AlternateContent>
  <xr:revisionPtr revIDLastSave="0" documentId="8_{0A4F7C08-BE65-4C38-8DDF-253C8072B8B9}" xr6:coauthVersionLast="36" xr6:coauthVersionMax="36" xr10:uidLastSave="{00000000-0000-0000-0000-000000000000}"/>
  <bookViews>
    <workbookView xWindow="600" yWindow="-27696" windowWidth="33144" windowHeight="22224" tabRatio="500" xr2:uid="{00000000-000D-0000-FFFF-FFFF00000000}"/>
  </bookViews>
  <sheets>
    <sheet name="Cost Schedule" sheetId="1" r:id="rId1"/>
  </sheets>
  <definedNames>
    <definedName name="BaseAccount">#REF!</definedName>
    <definedName name="BaseBudget">#REF!</definedName>
    <definedName name="BasePrice">#REF!</definedName>
    <definedName name="BaseTrx">#REF!</definedName>
    <definedName name="_xlnm.Print_Area" localSheetId="0">'Cost Schedule'!$A$3:$G$41</definedName>
  </definedName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43" i="1" l="1"/>
  <c r="I44" i="1"/>
  <c r="I33" i="1"/>
  <c r="E8" i="1"/>
  <c r="I8" i="1"/>
  <c r="I49" i="1"/>
  <c r="G47" i="1"/>
  <c r="G41" i="1"/>
  <c r="I41" i="1"/>
  <c r="G39" i="1"/>
  <c r="I39" i="1"/>
  <c r="I38" i="1"/>
  <c r="G37" i="1"/>
  <c r="I37" i="1"/>
  <c r="E36" i="1"/>
  <c r="G34" i="1"/>
  <c r="I34" i="1"/>
  <c r="G32" i="1"/>
  <c r="I32" i="1"/>
  <c r="G31" i="1"/>
  <c r="G30" i="1"/>
  <c r="I30" i="1"/>
  <c r="G29" i="1"/>
  <c r="I29" i="1"/>
  <c r="G28" i="1"/>
  <c r="I28" i="1"/>
  <c r="G26" i="1"/>
  <c r="I26" i="1"/>
  <c r="E25" i="1"/>
  <c r="E24" i="1"/>
  <c r="I24" i="1"/>
  <c r="E23" i="1"/>
  <c r="I23" i="1"/>
  <c r="E22" i="1"/>
  <c r="I22" i="1"/>
  <c r="E21" i="1"/>
  <c r="I21" i="1"/>
  <c r="E19" i="1"/>
  <c r="I19" i="1"/>
  <c r="E18" i="1"/>
  <c r="I18" i="1"/>
  <c r="E17" i="1"/>
  <c r="I17" i="1"/>
  <c r="F15" i="1"/>
  <c r="E14" i="1"/>
  <c r="I14" i="1"/>
  <c r="F13" i="1"/>
  <c r="I13" i="1"/>
  <c r="F12" i="1"/>
  <c r="I12" i="1"/>
  <c r="F11" i="1"/>
  <c r="E10" i="1"/>
  <c r="I10" i="1"/>
  <c r="E9" i="1"/>
  <c r="I9" i="1"/>
  <c r="E7" i="1"/>
  <c r="E6" i="1"/>
  <c r="I6" i="1"/>
  <c r="E5" i="1"/>
  <c r="I5" i="1"/>
  <c r="I47" i="1"/>
  <c r="I7" i="1"/>
  <c r="I11" i="1"/>
  <c r="I15" i="1"/>
  <c r="I25" i="1"/>
  <c r="I31" i="1"/>
  <c r="I36" i="1"/>
  <c r="I16" i="1"/>
  <c r="I20" i="1"/>
  <c r="I27" i="1"/>
  <c r="I35" i="1"/>
  <c r="I40" i="1"/>
  <c r="I42" i="1"/>
  <c r="I51" i="1"/>
</calcChain>
</file>

<file path=xl/sharedStrings.xml><?xml version="1.0" encoding="utf-8"?>
<sst xmlns="http://schemas.openxmlformats.org/spreadsheetml/2006/main" count="146" uniqueCount="137">
  <si>
    <t>Tandem MS analysis</t>
  </si>
  <si>
    <t>Unknown structural assignment</t>
    <phoneticPr fontId="1" type="noConversion"/>
  </si>
  <si>
    <t>Comprehensive, In-depth analysis</t>
  </si>
  <si>
    <t>Description</t>
  </si>
  <si>
    <t>Multiply labeled tracer analysis (for example 15N13C Gln)</t>
  </si>
  <si>
    <t>Title</t>
  </si>
  <si>
    <t>Tier A FTMS</t>
  </si>
  <si>
    <t>Per Hour</t>
  </si>
  <si>
    <t>Tier B FTMS</t>
  </si>
  <si>
    <t>Tier C FTMS</t>
  </si>
  <si>
    <t>Tier D FTMS</t>
  </si>
  <si>
    <t>Polar, Comprehensive</t>
  </si>
  <si>
    <t>Tier E FTMS</t>
  </si>
  <si>
    <t>Tier F FTMS</t>
  </si>
  <si>
    <t>Non-polar, Limited/Targeted</t>
  </si>
  <si>
    <t>Tier G FTMS</t>
  </si>
  <si>
    <t>Tier H FTMS</t>
  </si>
  <si>
    <t>Tier I FTMS</t>
  </si>
  <si>
    <t>Non-polar, Comprehensive</t>
  </si>
  <si>
    <t>Tier J FTMS</t>
  </si>
  <si>
    <t>MS1 only, no data analysis</t>
  </si>
  <si>
    <t xml:space="preserve">LC use </t>
  </si>
  <si>
    <t>Surcharge Per Run</t>
  </si>
  <si>
    <t>Tier K LC use</t>
  </si>
  <si>
    <t>Tier L GCMS</t>
  </si>
  <si>
    <t>Tier M GCMS</t>
  </si>
  <si>
    <t>Tier N GCMS</t>
  </si>
  <si>
    <t>Digester/Synthesizer</t>
  </si>
  <si>
    <t>CEM Explorer Focused Microwave</t>
  </si>
  <si>
    <t>14.1T NMR</t>
  </si>
  <si>
    <t>Cost Rate #</t>
  </si>
  <si>
    <t>14.1T NMR User</t>
  </si>
  <si>
    <t>14.1T NMR, CESB-provided operator</t>
  </si>
  <si>
    <t>14.1T NMR, Trained user</t>
  </si>
  <si>
    <t>Data Processing</t>
  </si>
  <si>
    <t>Targeted analysis of a defined, short list of analytes, e.g. 10 specific isobaric lipids.  Usually performed in a fashion that may preclude data mining for non-target analytes.  [Note:  Proximate type of analysis, such as total diacyl glycerides, is NOT this rate, but is rather Tier B  (Rate 2).]</t>
  </si>
  <si>
    <t>Targeted analysis of a defined, short list of analytes, e.g. 10 specific nucleotides.  Usually performed in a fashion that may preclude data mining for non-target analytes.  [Note:  Proximate type of analysis, such as total purine nucleotides, is NOT this rate, but is rather Tier E  (Rate 5).]</t>
  </si>
  <si>
    <t xml:space="preserve">Usually a targeted analysis towards a defined, short list of analytes, e.g. a drug and its major metabolite.  Usually performed in a fashion that may preclude data mining for non-target analytes. </t>
  </si>
  <si>
    <t xml:space="preserve">Polar, Limited/Targeted </t>
  </si>
  <si>
    <t xml:space="preserve">Limited/Targeted </t>
  </si>
  <si>
    <t>General/Typical</t>
  </si>
  <si>
    <t xml:space="preserve">Polar, General/Typical </t>
  </si>
  <si>
    <t>Non-polar, General/Typical</t>
  </si>
  <si>
    <t>All 1D and multidimensional NMR experiments are covered in this hourly rate, run by a CESB operator.</t>
  </si>
  <si>
    <t>All 1D and multidimensional NMR experiments are covered in this hourly rate for a user that has completed training.</t>
  </si>
  <si>
    <t>Specimen Grinding (e.g. LN2 grinding)</t>
  </si>
  <si>
    <t>Specimen Grinding</t>
  </si>
  <si>
    <t>Specimen Polar Extraction</t>
  </si>
  <si>
    <t>Polar metabolites extraction.</t>
  </si>
  <si>
    <t>Specimen Non Polar Extraction</t>
  </si>
  <si>
    <t>Non-Polar metabolites extraction.</t>
  </si>
  <si>
    <t>Ultracentrifugation</t>
  </si>
  <si>
    <t>Ultracentrifuge processing</t>
  </si>
  <si>
    <t>Per Sample</t>
  </si>
  <si>
    <t>ICPMS</t>
  </si>
  <si>
    <t>QqQ-ICPMS</t>
  </si>
  <si>
    <t>Protein Determination</t>
  </si>
  <si>
    <t>Total protein determination</t>
  </si>
  <si>
    <t>Robotic Liquid Handler</t>
  </si>
  <si>
    <t>Particle Analyzer</t>
  </si>
  <si>
    <t>Nanosight Particle Counter/Sizer</t>
  </si>
  <si>
    <t>Tubewriter</t>
  </si>
  <si>
    <t>Tubewriter labler</t>
  </si>
  <si>
    <t>Bench Fee</t>
  </si>
  <si>
    <t>#units</t>
  </si>
  <si>
    <t>Subtotal</t>
  </si>
  <si>
    <t>1D NMR is usually 1.5hr / sample, and data processing is usually 1.5hr/sample (see below).  2D NMR is complicated to estimate, and must be consulted.</t>
  </si>
  <si>
    <t>ICPMS usually can analyze 5 samples/hr.   All blanks &amp; spikes must be run.</t>
  </si>
  <si>
    <t>Half Bench for sample processing, 11 linear ft per day</t>
  </si>
  <si>
    <t>Microwave operations for glycogen, protein hydrolysis, nitric digestion ~ 4 samples/hr.  All blanks &amp; spikes must be run also and charged.  Microwave is also used for some chemoselective and other derivitization.</t>
  </si>
  <si>
    <t>For clients lacking sufficientfacilities to utilize CESB wet bench.  User must meet all regulations and requirements for lab bench work at UKY, including any specific requirements for working in CESB space (which handles e.g. human subject samples).</t>
  </si>
  <si>
    <t>You can edit only the #units and comments cells.  Most commonly used rates are marked as yellow cells.</t>
  </si>
  <si>
    <t>Comments</t>
  </si>
  <si>
    <t>Single and multi-element, with &amp; without reaction cell</t>
  </si>
  <si>
    <t>16.45T NMR</t>
  </si>
  <si>
    <t>16.45T NMR, CESB-provided operator</t>
  </si>
  <si>
    <t>16.45T NMR User</t>
  </si>
  <si>
    <t>16.45T NMR, Trained user</t>
  </si>
  <si>
    <t>9.4T NMR Wide Bore</t>
  </si>
  <si>
    <t>9.4T NMR Wide Bore Small Animal</t>
  </si>
  <si>
    <t>4 hour minimum charge</t>
  </si>
  <si>
    <t>All 1D and multidimensional NMR  and MRI experiments are covered in this hourly rate, available only for CESB operator.</t>
  </si>
  <si>
    <t>At cost</t>
  </si>
  <si>
    <t>Price charged will be reasonable at-cost to CESB.  In some cases, CESB has purchased large quantities at exceptionally low cost, and those costs will be estimated for the smaller quantities used for a study.</t>
  </si>
  <si>
    <t>TOTAL =</t>
  </si>
  <si>
    <t>Price PER DAY based on UK College of Medicine cost/sq. ft./yr</t>
  </si>
  <si>
    <t>Cost is charged in person-hrs.</t>
  </si>
  <si>
    <t xml:space="preserve">Rate multiplier = </t>
  </si>
  <si>
    <t>Non-profit =1, Commercial =6</t>
  </si>
  <si>
    <t xml:space="preserve"> Tissue grinding &amp; cryo-grinding; also same rate for equipment use which covers wear &amp; tear and bench use.</t>
  </si>
  <si>
    <t>Acid digestions or microwave synthesis runs;  also same rate for equipment use which covers wear &amp; tear and bench use.</t>
  </si>
  <si>
    <t>Standalone use of the Tecan Fluent 780 liquid handler; also same rate for equipment use which covers wear &amp; tear and bench use.</t>
  </si>
  <si>
    <t>For many types of samples, it is best to normalize analyte results to total protein; also same rate for equipment use which covers wear &amp; tear and bench use.</t>
  </si>
  <si>
    <t>Automated labware labeler capable of 1 &amp; 2D barcodes; also same rate for equipment use which covers wear &amp; tear and bench use.</t>
  </si>
  <si>
    <t>9.4T NMR Wide Bore User</t>
  </si>
  <si>
    <t>9.4T NMR Wide Bore Small Animal, trained user</t>
  </si>
  <si>
    <t>ArrayJet</t>
  </si>
  <si>
    <t>ArrayJet Microarray Printer</t>
  </si>
  <si>
    <t>Cost is PER SLIDE.</t>
  </si>
  <si>
    <t>Innopsys Scanner</t>
  </si>
  <si>
    <t>Innopsys Microarray Reader</t>
  </si>
  <si>
    <t>Use of microarray reader only, PER SLIDE.  All supplies are extra charge.  May  incur additional cost such as Ancilliary Supplies, and likely to incur also Ancilliary Labor.  Also likely to be tied to ArrayJet microarray printer costs.  Data analysis on Innopsys is charged at Data Processing rate.</t>
  </si>
  <si>
    <t>Supplies not covered by above Rates</t>
  </si>
  <si>
    <t>Advising, Consulting, Instruction, Scientific Interpretation, unanticipated analytical labor, and labor not covered by above Rates</t>
  </si>
  <si>
    <t>Detailed, non-polar analysis, e.g. involving  global by-lipid class analysis but with more exhaustive, custom investigations.  Likely surcharges include Tiers G, H, I (Rates 7, 8, 9) and Data Processing (Rate 32).</t>
  </si>
  <si>
    <t>Full, detailed analysis of major polar compounds, e.g. a global nucleotide analysis with other more exhaustive, custom investigations.  Likely surcharges include Tiers G, H, I (Rates 7, 8, 9) and Data Processing (Rate 32)</t>
  </si>
  <si>
    <t>Typically performed  analysis involving by-class distributions, ratios and selected fractional enrichment.  Likely to incur Data Processing (Rate 32) surcharges, especially for data-mining non-assigned spectral features.</t>
  </si>
  <si>
    <t>Comprises of multiple approaches - time consuming and non-automatic.  Likely to incur Data Processing (Rate 32) surcharges.</t>
  </si>
  <si>
    <t>Full, detailed, involving not only a global  analysis but also other more exhaustive, custom investigations inluding, but not limited to: unknowns, etc.   Likely surcharges include Tiers G, H, I (Rates 7, 8, 9) and Data Processing (Rate 32).</t>
  </si>
  <si>
    <t>Ancillary Labor</t>
  </si>
  <si>
    <t>Ancillary Supplies</t>
  </si>
  <si>
    <t>Sample Lyophilization</t>
  </si>
  <si>
    <t>Lyophilization / concentration</t>
  </si>
  <si>
    <t>Ultracentrifugation up to 110K xg;  also same rate for equipment use which covers wear &amp; tear and bench use. Includes tubes</t>
  </si>
  <si>
    <t>Lyophilization or concentration;  also same rate for equipment use which covers wear &amp; tear and bench use.</t>
  </si>
  <si>
    <r>
      <t>All 1D and multidimensional NMR  and</t>
    </r>
    <r>
      <rPr>
        <sz val="10"/>
        <color theme="1"/>
        <rFont val="Arial Narrow"/>
        <family val="2"/>
      </rPr>
      <t xml:space="preserve"> MRI experiments are covered in this hourly rate,for a user that has completed training. WILL need ancillary labor and suuplies for animal handling/anesthesia</t>
    </r>
  </si>
  <si>
    <t>1.5 hrs/sample for NMR of polar extracts. 1.5hrs/sample for NMR of two media time points. Cost is charged in person-hrs.</t>
  </si>
  <si>
    <t>Live Cell/Tissue Light Microscope</t>
  </si>
  <si>
    <t>Scanning Light Microscope</t>
  </si>
  <si>
    <t>Typically performed e.g. lipids analysis involving by-class distributions, ratios and selected fractional enrichment.  Likely to incur Data Processing (Rate 32) surcharges, such as data-mining non-assigned spectral features.</t>
  </si>
  <si>
    <t>Typically performed analysis of targeted polar metabolites and selected fractional enrichment.  Likely to incur Data Processing (Rate 32) surcharges, such as for data-mining non-assigned spectral features.</t>
  </si>
  <si>
    <t>Likely to require manual/Non-automated analysis of MS/MS spectra for structural confirmation.  Likely to incur Data Processing (Rate 32) surcharges.</t>
  </si>
  <si>
    <t>Acquisition of FTMS spectrum, no data analysis.  Because QA dictates QC analysis of the data, any QC is likely to incur Data Processing (Rate 32) surcharges.</t>
  </si>
  <si>
    <t>LC use is in addition to MS</t>
  </si>
  <si>
    <t>Use of microarray printer only, PER SLIDE.  All supplies are extra charge.  Will  incur additional cost such as Ancilliary Supplies, and will also incur Ancilliary Labor. Also likely to be tied to Innopsys microarray reader costs.</t>
  </si>
  <si>
    <t>Examples include, but not limited to. rates above that do not include labor, method development; extensive advising on experimental design; pathway reconstruction; ad hoc training,, and anything else of labor in excess of Rates 1-36.</t>
  </si>
  <si>
    <t>Most common examples are method development, unusual sample handling.  Some rates above do not include supplies, such as the microarray printer, which are substantial in cost.</t>
  </si>
  <si>
    <t>Evos M7000</t>
  </si>
  <si>
    <t>Live tissue and cell experiment microscope system.  All supplies are extra charge, and will incur additional cost such as Ancillary Supplies and will also incur Ancillary Labor due to the complexity of setup.</t>
  </si>
  <si>
    <t>Olympus VS-120 Slide Scanner</t>
  </si>
  <si>
    <t>Short Description or Model</t>
  </si>
  <si>
    <t>Counts particles with size distribution, e.g. microvesicles; also same rate for equipment use which covers wear &amp; tear and bench use.  The total cost for analysis must include Ancillary Labor.</t>
  </si>
  <si>
    <t>Data processing where not included above, or as a surcharge.  CESB will not process data acquired on non-CESB instruments.</t>
  </si>
  <si>
    <t xml:space="preserve">Slide scanning / image analysis microscope system, capable of z-stacking imaging and 6-slide stage for e.g. immunohistochemical microscroscopy.  Likely to incur Ancillary Supplies and Ancillary Labor charges.  </t>
  </si>
  <si>
    <t>LC use surcharge for mass spectrometry.</t>
  </si>
  <si>
    <t>Analysis is complicated and time consuming as more than one stable isotope enrichment is investigated.   Likely to incur Data Processing (Rate 32) surcharges.</t>
  </si>
  <si>
    <t xml:space="preserve">The cost estimator should be used ONLY following consultation; services may be overlapping or conversely have critical gaps due to experimental design.  In particular, it is very common to have to EXTENSIVE data processing charges during interpretation.  See text at bottom.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</si>
</sst>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26" x14ac:knownFonts="1">
    <font>
      <sz val="10"/>
      <name val="Arial"/>
    </font>
    <font>
      <sz val="8"/>
      <name val="Arial Narrow"/>
    </font>
    <font>
      <u/>
      <sz val="10"/>
      <color theme="10"/>
      <name val="Arial"/>
    </font>
    <font>
      <u/>
      <sz val="10"/>
      <color theme="11"/>
      <name val="Arial"/>
    </font>
    <font>
      <b/>
      <sz val="14"/>
      <color indexed="8"/>
      <name val="Arial Narrow"/>
    </font>
    <font>
      <b/>
      <sz val="14"/>
      <name val="Arial Narrow"/>
    </font>
    <font>
      <sz val="10"/>
      <name val="Arial Narrow"/>
    </font>
    <font>
      <b/>
      <sz val="11"/>
      <color indexed="8"/>
      <name val="Arial Narrow"/>
    </font>
    <font>
      <sz val="11"/>
      <color indexed="8"/>
      <name val="Arial Narrow"/>
    </font>
    <font>
      <b/>
      <sz val="12"/>
      <name val="Arial Narrow"/>
    </font>
    <font>
      <b/>
      <sz val="12"/>
      <color indexed="8"/>
      <name val="Arial Narrow"/>
    </font>
    <font>
      <sz val="10"/>
      <name val="Arial"/>
    </font>
    <font>
      <sz val="12"/>
      <color rgb="FFFF0000"/>
      <name val="Calibri"/>
      <family val="2"/>
      <scheme val="minor"/>
    </font>
    <font>
      <sz val="11"/>
      <name val="Arial Narrow"/>
    </font>
    <font>
      <sz val="11"/>
      <color rgb="FF0000FF"/>
      <name val="Calibri"/>
      <scheme val="minor"/>
    </font>
    <font>
      <sz val="11"/>
      <color theme="1"/>
      <name val="Calibri"/>
      <family val="2"/>
      <scheme val="minor"/>
    </font>
    <font>
      <sz val="12"/>
      <color rgb="FF0000FF"/>
      <name val="Calibri"/>
      <scheme val="minor"/>
    </font>
    <font>
      <sz val="10"/>
      <color rgb="FF0000FF"/>
      <name val="Arial Narrow"/>
    </font>
    <font>
      <b/>
      <sz val="14"/>
      <color rgb="FF0000FF"/>
      <name val="Arial Narrow"/>
    </font>
    <font>
      <sz val="14"/>
      <name val="Arial Narrow"/>
    </font>
    <font>
      <b/>
      <sz val="12"/>
      <color rgb="FF0000FF"/>
      <name val="Arial Narrow"/>
    </font>
    <font>
      <sz val="10"/>
      <color theme="1"/>
      <name val="Arial Narrow"/>
      <family val="2"/>
    </font>
    <font>
      <sz val="10"/>
      <name val="Arial Narrow"/>
      <family val="2"/>
    </font>
    <font>
      <sz val="10"/>
      <color rgb="FF0070C0"/>
      <name val="Arial"/>
      <family val="2"/>
    </font>
    <font>
      <sz val="10"/>
      <color rgb="FF0000FF"/>
      <name val="Arial Narrow"/>
      <family val="2"/>
    </font>
    <font>
      <b/>
      <sz val="12"/>
      <color rgb="FFC00000"/>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5">
    <xf numFmtId="0" fontId="0" fillId="0" borderId="0" xfId="0"/>
    <xf numFmtId="0" fontId="4" fillId="0" borderId="0" xfId="0" applyFont="1" applyAlignment="1">
      <alignment horizontal="center"/>
    </xf>
    <xf numFmtId="0" fontId="6" fillId="0" borderId="0" xfId="0" applyFont="1"/>
    <xf numFmtId="0" fontId="5" fillId="0" borderId="0" xfId="0" applyFont="1" applyAlignment="1">
      <alignment horizontal="center" vertical="center" wrapText="1"/>
    </xf>
    <xf numFmtId="0" fontId="4" fillId="2" borderId="1" xfId="0" applyFont="1" applyFill="1" applyBorder="1" applyAlignment="1">
      <alignment horizont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13" fillId="0" borderId="0" xfId="17" applyFont="1" applyAlignment="1">
      <alignment vertical="center"/>
    </xf>
    <xf numFmtId="0" fontId="6" fillId="0" borderId="0" xfId="17" applyFont="1" applyAlignment="1">
      <alignment vertical="center" wrapText="1"/>
    </xf>
    <xf numFmtId="0" fontId="0" fillId="0" borderId="0" xfId="0" applyAlignment="1">
      <alignment vertical="center" wrapText="1"/>
    </xf>
    <xf numFmtId="0" fontId="14" fillId="0" borderId="0" xfId="0" applyFont="1" applyAlignment="1">
      <alignment vertical="center"/>
    </xf>
    <xf numFmtId="1" fontId="15" fillId="0" borderId="0" xfId="0" applyNumberFormat="1" applyFont="1" applyAlignment="1">
      <alignment vertical="center"/>
    </xf>
    <xf numFmtId="0" fontId="7" fillId="2" borderId="1" xfId="0" applyFont="1" applyFill="1" applyBorder="1" applyProtection="1"/>
    <xf numFmtId="0" fontId="6" fillId="2" borderId="1" xfId="0" applyFont="1" applyFill="1" applyBorder="1" applyProtection="1"/>
    <xf numFmtId="0" fontId="9"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164" fontId="9" fillId="0" borderId="1" xfId="0" applyNumberFormat="1" applyFont="1" applyBorder="1" applyAlignment="1" applyProtection="1">
      <alignment horizontal="center" vertical="center" wrapText="1"/>
    </xf>
    <xf numFmtId="164" fontId="9" fillId="0" borderId="1" xfId="0" applyNumberFormat="1" applyFont="1" applyBorder="1" applyAlignment="1" applyProtection="1">
      <alignment vertical="center"/>
    </xf>
    <xf numFmtId="164" fontId="9" fillId="0" borderId="1" xfId="0" applyNumberFormat="1" applyFont="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164" fontId="10" fillId="2" borderId="1" xfId="0" applyNumberFormat="1" applyFont="1" applyFill="1" applyBorder="1" applyAlignment="1" applyProtection="1">
      <alignment vertical="center"/>
    </xf>
    <xf numFmtId="164" fontId="9" fillId="2" borderId="1" xfId="0" applyNumberFormat="1" applyFont="1" applyFill="1" applyBorder="1" applyAlignment="1" applyProtection="1">
      <alignment vertical="center"/>
    </xf>
    <xf numFmtId="0" fontId="9"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15" fillId="0" borderId="0" xfId="0" applyFont="1" applyAlignment="1" applyProtection="1">
      <alignment vertical="center"/>
      <protection locked="0"/>
    </xf>
    <xf numFmtId="0" fontId="15" fillId="3" borderId="0" xfId="0" applyFont="1" applyFill="1" applyAlignment="1" applyProtection="1">
      <alignment vertical="center"/>
      <protection locked="0"/>
    </xf>
    <xf numFmtId="0" fontId="13" fillId="3" borderId="0" xfId="17" applyFont="1" applyFill="1" applyAlignment="1" applyProtection="1">
      <alignment vertical="center"/>
      <protection locked="0"/>
    </xf>
    <xf numFmtId="0" fontId="13" fillId="0" borderId="0" xfId="17" applyFont="1" applyAlignment="1" applyProtection="1">
      <alignment vertical="center"/>
      <protection locked="0"/>
    </xf>
    <xf numFmtId="0" fontId="0" fillId="0" borderId="0" xfId="0" applyAlignment="1" applyProtection="1">
      <alignment vertical="center" wrapText="1"/>
      <protection locked="0"/>
    </xf>
    <xf numFmtId="0" fontId="6" fillId="0" borderId="0" xfId="17" applyFont="1" applyAlignment="1" applyProtection="1">
      <alignment vertical="center" wrapText="1"/>
      <protection locked="0"/>
    </xf>
    <xf numFmtId="0" fontId="16" fillId="0" borderId="0" xfId="0" applyFont="1" applyAlignment="1" applyProtection="1">
      <alignment vertical="center" wrapText="1"/>
      <protection locked="0"/>
    </xf>
    <xf numFmtId="0" fontId="12" fillId="0" borderId="0" xfId="0" applyFont="1" applyFill="1" applyAlignment="1" applyProtection="1">
      <alignment vertical="center" wrapText="1"/>
      <protection locked="0"/>
    </xf>
    <xf numFmtId="0" fontId="0" fillId="0" borderId="0" xfId="0"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17" applyFont="1" applyAlignment="1" applyProtection="1">
      <alignment vertical="center" wrapText="1"/>
      <protection locked="0"/>
    </xf>
    <xf numFmtId="0" fontId="18" fillId="0" borderId="1" xfId="0" applyFont="1" applyBorder="1" applyAlignment="1">
      <alignment horizontal="center" vertical="center" wrapText="1"/>
    </xf>
    <xf numFmtId="0" fontId="18" fillId="0" borderId="1" xfId="0" applyFont="1" applyBorder="1" applyAlignment="1" applyProtection="1">
      <alignment horizontal="center" vertical="center" wrapText="1"/>
    </xf>
    <xf numFmtId="0" fontId="18" fillId="0" borderId="0" xfId="0" applyFont="1" applyAlignment="1">
      <alignment horizontal="left"/>
    </xf>
    <xf numFmtId="0" fontId="5" fillId="0" borderId="0" xfId="17" applyFont="1" applyAlignment="1">
      <alignment vertical="center"/>
    </xf>
    <xf numFmtId="1" fontId="19" fillId="0" borderId="0" xfId="17" applyNumberFormat="1"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1" fontId="15" fillId="0" borderId="0" xfId="0" applyNumberFormat="1" applyFont="1" applyAlignment="1" applyProtection="1">
      <alignment vertical="center"/>
      <protection locked="0"/>
    </xf>
    <xf numFmtId="0" fontId="17" fillId="0" borderId="0" xfId="0" applyFont="1"/>
    <xf numFmtId="0" fontId="20" fillId="0" borderId="0" xfId="0" applyFont="1" applyAlignment="1">
      <alignment horizontal="right"/>
    </xf>
    <xf numFmtId="0" fontId="20" fillId="0" borderId="0" xfId="0" applyFont="1" applyProtection="1">
      <protection locked="0"/>
    </xf>
    <xf numFmtId="0" fontId="10" fillId="0" borderId="1" xfId="0" applyFont="1" applyFill="1" applyBorder="1" applyAlignment="1">
      <alignment horizontal="center" vertical="center"/>
    </xf>
    <xf numFmtId="0" fontId="21" fillId="0" borderId="1"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3" fillId="0" borderId="0" xfId="0" applyFont="1" applyAlignment="1" applyProtection="1">
      <alignment vertical="center" wrapText="1"/>
      <protection locked="0"/>
    </xf>
    <xf numFmtId="0" fontId="24" fillId="0" borderId="0" xfId="17" applyFont="1" applyAlignment="1" applyProtection="1">
      <alignment vertical="center" wrapText="1"/>
      <protection locked="0"/>
    </xf>
    <xf numFmtId="0" fontId="15" fillId="0" borderId="0" xfId="0" applyFont="1" applyFill="1" applyAlignment="1" applyProtection="1">
      <alignment vertical="center"/>
      <protection locked="0"/>
    </xf>
    <xf numFmtId="0" fontId="25" fillId="0" borderId="0" xfId="0" applyFont="1" applyAlignment="1">
      <alignment horizontal="left"/>
    </xf>
  </cellXfs>
  <cellStyles count="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Normal" xfId="0" builtinId="0"/>
    <cellStyle name="Normal 2" xfId="17" xr:uid="{00000000-0005-0000-0000-00002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158750</xdr:colOff>
      <xdr:row>52</xdr:row>
      <xdr:rowOff>21168</xdr:rowOff>
    </xdr:from>
    <xdr:to>
      <xdr:col>7</xdr:col>
      <xdr:colOff>10583</xdr:colOff>
      <xdr:row>56</xdr:row>
      <xdr:rowOff>63501</xdr:rowOff>
    </xdr:to>
    <xdr:sp macro="" textlink="">
      <xdr:nvSpPr>
        <xdr:cNvPr id="2" name="TextBox 1">
          <a:extLst>
            <a:ext uri="{FF2B5EF4-FFF2-40B4-BE49-F238E27FC236}">
              <a16:creationId xmlns:a16="http://schemas.microsoft.com/office/drawing/2014/main" id="{278AD465-FC49-414B-AD27-34D7EC8CBBC7}"/>
            </a:ext>
          </a:extLst>
        </xdr:cNvPr>
        <xdr:cNvSpPr txBox="1"/>
      </xdr:nvSpPr>
      <xdr:spPr>
        <a:xfrm>
          <a:off x="158750" y="27230918"/>
          <a:ext cx="11747500" cy="973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C00000"/>
              </a:solidFill>
            </a:rPr>
            <a:t>This spreadsheet gives an estimate of the costs.  While the sample handling and  data collection costs per sample are likely accurate, the data analysis cost is relatively rough, based on a typical amount of time needed.  However, data analysis is sample and project dependent, so the actual costs could be either higher or lower than these estimates. The estimates are based on initial (first-pass) data processing to obtain “typical” pathway labeling information; however, in our experience (see our papers) useful scientific interpretation often requires second or multi-pass data processing, including re-visting the raw data for anomalies.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tabSelected="1" zoomScale="120" zoomScaleNormal="120" zoomScalePageLayoutView="120" workbookViewId="0">
      <pane xSplit="2" ySplit="4" topLeftCell="C5" activePane="bottomRight" state="frozen"/>
      <selection pane="topRight" activeCell="C1" sqref="C1"/>
      <selection pane="bottomLeft" activeCell="A5" sqref="A5"/>
      <selection pane="bottomRight" activeCell="C59" sqref="C59"/>
    </sheetView>
  </sheetViews>
  <sheetFormatPr defaultColWidth="10.44140625" defaultRowHeight="18" x14ac:dyDescent="0.35"/>
  <cols>
    <col min="1" max="1" width="12.33203125" style="1" customWidth="1"/>
    <col min="2" max="2" width="31.109375" style="1" customWidth="1"/>
    <col min="3" max="3" width="31.77734375" style="2" customWidth="1"/>
    <col min="4" max="4" width="48.6640625" style="2" customWidth="1"/>
    <col min="5" max="5" width="12" style="2" customWidth="1"/>
    <col min="6" max="6" width="10.77734375" style="2" customWidth="1"/>
    <col min="7" max="7" width="9.44140625" style="2" customWidth="1"/>
    <col min="8" max="8" width="10.44140625" style="7"/>
    <col min="9" max="9" width="15.33203125" style="7" customWidth="1"/>
    <col min="10" max="10" width="64.33203125" style="8" customWidth="1"/>
    <col min="11" max="16384" width="10.44140625" style="2"/>
  </cols>
  <sheetData>
    <row r="1" spans="1:10" x14ac:dyDescent="0.35">
      <c r="A1" s="54" t="s">
        <v>136</v>
      </c>
    </row>
    <row r="2" spans="1:10" x14ac:dyDescent="0.35">
      <c r="A2" s="39" t="s">
        <v>71</v>
      </c>
      <c r="E2" s="46" t="s">
        <v>87</v>
      </c>
      <c r="F2" s="47">
        <v>1</v>
      </c>
      <c r="G2" s="45" t="s">
        <v>88</v>
      </c>
    </row>
    <row r="3" spans="1:10" s="3" customFormat="1" ht="36" x14ac:dyDescent="0.25">
      <c r="A3" s="37" t="s">
        <v>30</v>
      </c>
      <c r="B3" s="37" t="s">
        <v>5</v>
      </c>
      <c r="C3" s="38" t="s">
        <v>130</v>
      </c>
      <c r="D3" s="38" t="s">
        <v>3</v>
      </c>
      <c r="E3" s="38" t="s">
        <v>53</v>
      </c>
      <c r="F3" s="38" t="s">
        <v>22</v>
      </c>
      <c r="G3" s="38" t="s">
        <v>7</v>
      </c>
      <c r="H3" s="42" t="s">
        <v>64</v>
      </c>
      <c r="I3" s="42" t="s">
        <v>65</v>
      </c>
      <c r="J3" s="43" t="s">
        <v>72</v>
      </c>
    </row>
    <row r="4" spans="1:10" ht="4.95" customHeight="1" x14ac:dyDescent="0.35">
      <c r="A4" s="4"/>
      <c r="B4" s="4"/>
      <c r="C4" s="12"/>
      <c r="D4" s="12"/>
      <c r="E4" s="12"/>
      <c r="F4" s="12"/>
      <c r="G4" s="13"/>
      <c r="H4" s="10"/>
      <c r="I4" s="10"/>
      <c r="J4" s="9"/>
    </row>
    <row r="5" spans="1:10" ht="49.05" customHeight="1" x14ac:dyDescent="0.3">
      <c r="A5" s="5">
        <v>1</v>
      </c>
      <c r="B5" s="5" t="s">
        <v>6</v>
      </c>
      <c r="C5" s="14" t="s">
        <v>18</v>
      </c>
      <c r="D5" s="15" t="s">
        <v>104</v>
      </c>
      <c r="E5" s="16">
        <f>$F$2*155</f>
        <v>155</v>
      </c>
      <c r="F5" s="16"/>
      <c r="G5" s="17"/>
      <c r="H5" s="26"/>
      <c r="I5" s="11">
        <f>(E5+F5+G5)*H5</f>
        <v>0</v>
      </c>
      <c r="J5" s="30"/>
    </row>
    <row r="6" spans="1:10" ht="49.05" customHeight="1" x14ac:dyDescent="0.3">
      <c r="A6" s="5">
        <v>2</v>
      </c>
      <c r="B6" s="5" t="s">
        <v>8</v>
      </c>
      <c r="C6" s="14" t="s">
        <v>42</v>
      </c>
      <c r="D6" s="15" t="s">
        <v>119</v>
      </c>
      <c r="E6" s="18">
        <f>$F$2*75</f>
        <v>75</v>
      </c>
      <c r="F6" s="18"/>
      <c r="G6" s="17"/>
      <c r="H6" s="27"/>
      <c r="I6" s="11">
        <f t="shared" ref="I6:I44" si="0">(E6+F6+G6)*H6</f>
        <v>0</v>
      </c>
      <c r="J6" s="30"/>
    </row>
    <row r="7" spans="1:10" ht="49.05" customHeight="1" x14ac:dyDescent="0.3">
      <c r="A7" s="5">
        <v>3</v>
      </c>
      <c r="B7" s="5" t="s">
        <v>9</v>
      </c>
      <c r="C7" s="14" t="s">
        <v>14</v>
      </c>
      <c r="D7" s="15" t="s">
        <v>35</v>
      </c>
      <c r="E7" s="18">
        <f>$F$2*45</f>
        <v>45</v>
      </c>
      <c r="F7" s="18"/>
      <c r="G7" s="17"/>
      <c r="H7" s="26"/>
      <c r="I7" s="11">
        <f t="shared" si="0"/>
        <v>0</v>
      </c>
      <c r="J7" s="30"/>
    </row>
    <row r="8" spans="1:10" ht="49.05" customHeight="1" x14ac:dyDescent="0.3">
      <c r="A8" s="5">
        <v>4</v>
      </c>
      <c r="B8" s="5" t="s">
        <v>10</v>
      </c>
      <c r="C8" s="14" t="s">
        <v>11</v>
      </c>
      <c r="D8" s="15" t="s">
        <v>105</v>
      </c>
      <c r="E8" s="16">
        <f>$F$2*120</f>
        <v>120</v>
      </c>
      <c r="F8" s="16"/>
      <c r="G8" s="17"/>
      <c r="H8" s="26"/>
      <c r="I8" s="11">
        <f t="shared" si="0"/>
        <v>0</v>
      </c>
      <c r="J8" s="30"/>
    </row>
    <row r="9" spans="1:10" ht="49.05" customHeight="1" x14ac:dyDescent="0.3">
      <c r="A9" s="5">
        <v>5</v>
      </c>
      <c r="B9" s="5" t="s">
        <v>12</v>
      </c>
      <c r="C9" s="14" t="s">
        <v>41</v>
      </c>
      <c r="D9" s="15" t="s">
        <v>120</v>
      </c>
      <c r="E9" s="18">
        <f>$F$2*75</f>
        <v>75</v>
      </c>
      <c r="F9" s="18"/>
      <c r="G9" s="17"/>
      <c r="H9" s="27">
        <v>0</v>
      </c>
      <c r="I9" s="11">
        <f t="shared" si="0"/>
        <v>0</v>
      </c>
      <c r="J9" s="30"/>
    </row>
    <row r="10" spans="1:10" ht="49.05" customHeight="1" x14ac:dyDescent="0.3">
      <c r="A10" s="5">
        <v>6</v>
      </c>
      <c r="B10" s="5" t="s">
        <v>13</v>
      </c>
      <c r="C10" s="14" t="s">
        <v>38</v>
      </c>
      <c r="D10" s="15" t="s">
        <v>36</v>
      </c>
      <c r="E10" s="18">
        <f>$F$2*45</f>
        <v>45</v>
      </c>
      <c r="F10" s="18"/>
      <c r="G10" s="17"/>
      <c r="H10" s="26"/>
      <c r="I10" s="11">
        <f t="shared" si="0"/>
        <v>0</v>
      </c>
      <c r="J10" s="31"/>
    </row>
    <row r="11" spans="1:10" ht="49.05" customHeight="1" x14ac:dyDescent="0.3">
      <c r="A11" s="5">
        <v>7</v>
      </c>
      <c r="B11" s="5" t="s">
        <v>15</v>
      </c>
      <c r="C11" s="14" t="s">
        <v>4</v>
      </c>
      <c r="D11" s="15" t="s">
        <v>135</v>
      </c>
      <c r="E11" s="16"/>
      <c r="F11" s="16">
        <f>$F$2*45</f>
        <v>45</v>
      </c>
      <c r="G11" s="17"/>
      <c r="H11" s="26"/>
      <c r="I11" s="11">
        <f t="shared" si="0"/>
        <v>0</v>
      </c>
      <c r="J11" s="31"/>
    </row>
    <row r="12" spans="1:10" ht="49.05" customHeight="1" x14ac:dyDescent="0.3">
      <c r="A12" s="5">
        <v>8</v>
      </c>
      <c r="B12" s="5" t="s">
        <v>16</v>
      </c>
      <c r="C12" s="14" t="s">
        <v>0</v>
      </c>
      <c r="D12" s="15" t="s">
        <v>121</v>
      </c>
      <c r="E12" s="18"/>
      <c r="F12" s="18">
        <f>$F$2*45</f>
        <v>45</v>
      </c>
      <c r="G12" s="17"/>
      <c r="H12" s="26"/>
      <c r="I12" s="11">
        <f t="shared" si="0"/>
        <v>0</v>
      </c>
      <c r="J12" s="32"/>
    </row>
    <row r="13" spans="1:10" ht="49.05" customHeight="1" x14ac:dyDescent="0.3">
      <c r="A13" s="5">
        <v>9</v>
      </c>
      <c r="B13" s="5" t="s">
        <v>17</v>
      </c>
      <c r="C13" s="14" t="s">
        <v>1</v>
      </c>
      <c r="D13" s="15" t="s">
        <v>107</v>
      </c>
      <c r="E13" s="18"/>
      <c r="F13" s="18">
        <f>$F$2*75</f>
        <v>75</v>
      </c>
      <c r="G13" s="17"/>
      <c r="H13" s="26"/>
      <c r="I13" s="11">
        <f t="shared" si="0"/>
        <v>0</v>
      </c>
      <c r="J13" s="31"/>
    </row>
    <row r="14" spans="1:10" ht="49.05" customHeight="1" x14ac:dyDescent="0.3">
      <c r="A14" s="5">
        <v>10</v>
      </c>
      <c r="B14" s="5" t="s">
        <v>19</v>
      </c>
      <c r="C14" s="14" t="s">
        <v>20</v>
      </c>
      <c r="D14" s="15" t="s">
        <v>122</v>
      </c>
      <c r="E14" s="18">
        <f>$F$2*30</f>
        <v>30</v>
      </c>
      <c r="F14" s="17"/>
      <c r="G14" s="17"/>
      <c r="H14" s="26"/>
      <c r="I14" s="11">
        <f t="shared" si="0"/>
        <v>0</v>
      </c>
      <c r="J14" s="33"/>
    </row>
    <row r="15" spans="1:10" ht="49.05" customHeight="1" x14ac:dyDescent="0.3">
      <c r="A15" s="5">
        <v>11</v>
      </c>
      <c r="B15" s="5" t="s">
        <v>23</v>
      </c>
      <c r="C15" s="14" t="s">
        <v>21</v>
      </c>
      <c r="D15" s="15" t="s">
        <v>134</v>
      </c>
      <c r="E15" s="17"/>
      <c r="F15" s="18">
        <f>$F$2*60</f>
        <v>60</v>
      </c>
      <c r="G15" s="17"/>
      <c r="H15" s="27">
        <v>0</v>
      </c>
      <c r="I15" s="11">
        <f t="shared" si="0"/>
        <v>0</v>
      </c>
      <c r="J15" s="51" t="s">
        <v>123</v>
      </c>
    </row>
    <row r="16" spans="1:10" ht="4.95" customHeight="1" x14ac:dyDescent="0.3">
      <c r="A16" s="6"/>
      <c r="B16" s="6"/>
      <c r="C16" s="19"/>
      <c r="D16" s="20"/>
      <c r="E16" s="21"/>
      <c r="F16" s="21"/>
      <c r="G16" s="22"/>
      <c r="H16" s="26"/>
      <c r="I16" s="11">
        <f t="shared" si="0"/>
        <v>0</v>
      </c>
      <c r="J16" s="31"/>
    </row>
    <row r="17" spans="1:10" ht="49.05" customHeight="1" x14ac:dyDescent="0.3">
      <c r="A17" s="48">
        <v>12</v>
      </c>
      <c r="B17" s="5" t="s">
        <v>24</v>
      </c>
      <c r="C17" s="14" t="s">
        <v>2</v>
      </c>
      <c r="D17" s="15" t="s">
        <v>108</v>
      </c>
      <c r="E17" s="18">
        <f>$F$2*140</f>
        <v>140</v>
      </c>
      <c r="F17" s="18"/>
      <c r="G17" s="17"/>
      <c r="H17" s="26"/>
      <c r="I17" s="11">
        <f t="shared" si="0"/>
        <v>0</v>
      </c>
      <c r="J17" s="31"/>
    </row>
    <row r="18" spans="1:10" ht="49.05" customHeight="1" x14ac:dyDescent="0.3">
      <c r="A18" s="48">
        <v>13</v>
      </c>
      <c r="B18" s="5" t="s">
        <v>25</v>
      </c>
      <c r="C18" s="14" t="s">
        <v>40</v>
      </c>
      <c r="D18" s="15" t="s">
        <v>106</v>
      </c>
      <c r="E18" s="18">
        <f>$F$2*55</f>
        <v>55</v>
      </c>
      <c r="F18" s="18"/>
      <c r="G18" s="17"/>
      <c r="H18" s="53"/>
      <c r="I18" s="11">
        <f t="shared" si="0"/>
        <v>0</v>
      </c>
      <c r="J18" s="34"/>
    </row>
    <row r="19" spans="1:10" ht="49.05" customHeight="1" x14ac:dyDescent="0.3">
      <c r="A19" s="48">
        <v>14</v>
      </c>
      <c r="B19" s="5" t="s">
        <v>26</v>
      </c>
      <c r="C19" s="14" t="s">
        <v>39</v>
      </c>
      <c r="D19" s="15" t="s">
        <v>37</v>
      </c>
      <c r="E19" s="18">
        <f>$F$2*27</f>
        <v>27</v>
      </c>
      <c r="F19" s="18"/>
      <c r="G19" s="17"/>
      <c r="H19" s="26"/>
      <c r="I19" s="11">
        <f t="shared" si="0"/>
        <v>0</v>
      </c>
      <c r="J19" s="34"/>
    </row>
    <row r="20" spans="1:10" ht="4.95" customHeight="1" x14ac:dyDescent="0.3">
      <c r="A20" s="6"/>
      <c r="B20" s="6"/>
      <c r="C20" s="23"/>
      <c r="D20" s="24"/>
      <c r="E20" s="22"/>
      <c r="F20" s="22"/>
      <c r="G20" s="22"/>
      <c r="H20" s="26"/>
      <c r="I20" s="11">
        <f t="shared" si="0"/>
        <v>0</v>
      </c>
      <c r="J20" s="34"/>
    </row>
    <row r="21" spans="1:10" ht="49.05" customHeight="1" x14ac:dyDescent="0.3">
      <c r="A21" s="5">
        <v>15</v>
      </c>
      <c r="B21" s="5" t="s">
        <v>46</v>
      </c>
      <c r="C21" s="14" t="s">
        <v>45</v>
      </c>
      <c r="D21" s="15" t="s">
        <v>89</v>
      </c>
      <c r="E21" s="18">
        <f>$F$2*20</f>
        <v>20</v>
      </c>
      <c r="F21" s="18"/>
      <c r="G21" s="17"/>
      <c r="H21" s="28">
        <v>0</v>
      </c>
      <c r="I21" s="11">
        <f t="shared" si="0"/>
        <v>0</v>
      </c>
      <c r="J21" s="31"/>
    </row>
    <row r="22" spans="1:10" ht="49.05" customHeight="1" x14ac:dyDescent="0.3">
      <c r="A22" s="5">
        <v>16</v>
      </c>
      <c r="B22" s="5" t="s">
        <v>47</v>
      </c>
      <c r="C22" s="25" t="s">
        <v>47</v>
      </c>
      <c r="D22" s="15" t="s">
        <v>48</v>
      </c>
      <c r="E22" s="18">
        <f>$F$2*15</f>
        <v>15</v>
      </c>
      <c r="F22" s="18"/>
      <c r="G22" s="17"/>
      <c r="H22" s="28">
        <v>0</v>
      </c>
      <c r="I22" s="11">
        <f t="shared" si="0"/>
        <v>0</v>
      </c>
      <c r="J22" s="31"/>
    </row>
    <row r="23" spans="1:10" ht="49.05" customHeight="1" x14ac:dyDescent="0.3">
      <c r="A23" s="5">
        <v>17</v>
      </c>
      <c r="B23" s="5" t="s">
        <v>49</v>
      </c>
      <c r="C23" s="25" t="s">
        <v>49</v>
      </c>
      <c r="D23" s="15" t="s">
        <v>50</v>
      </c>
      <c r="E23" s="18">
        <f>$F$2*15</f>
        <v>15</v>
      </c>
      <c r="F23" s="18"/>
      <c r="G23" s="17"/>
      <c r="H23" s="28">
        <v>0</v>
      </c>
      <c r="I23" s="11">
        <f t="shared" si="0"/>
        <v>0</v>
      </c>
      <c r="J23" s="31"/>
    </row>
    <row r="24" spans="1:10" ht="49.05" customHeight="1" x14ac:dyDescent="0.3">
      <c r="A24" s="5">
        <v>18</v>
      </c>
      <c r="B24" s="5" t="s">
        <v>111</v>
      </c>
      <c r="C24" s="14" t="s">
        <v>112</v>
      </c>
      <c r="D24" s="49" t="s">
        <v>114</v>
      </c>
      <c r="E24" s="18">
        <f>$F$2*10</f>
        <v>10</v>
      </c>
      <c r="F24" s="18"/>
      <c r="G24" s="17"/>
      <c r="H24" s="28">
        <v>0</v>
      </c>
      <c r="I24" s="11">
        <f t="shared" si="0"/>
        <v>0</v>
      </c>
      <c r="J24" s="31"/>
    </row>
    <row r="25" spans="1:10" ht="49.05" customHeight="1" x14ac:dyDescent="0.3">
      <c r="A25" s="5">
        <v>19</v>
      </c>
      <c r="B25" s="5" t="s">
        <v>51</v>
      </c>
      <c r="C25" s="14" t="s">
        <v>52</v>
      </c>
      <c r="D25" s="49" t="s">
        <v>113</v>
      </c>
      <c r="E25" s="18">
        <f>$F$2*15</f>
        <v>15</v>
      </c>
      <c r="F25" s="18"/>
      <c r="G25" s="17"/>
      <c r="H25" s="29"/>
      <c r="I25" s="11">
        <f t="shared" si="0"/>
        <v>0</v>
      </c>
      <c r="J25" s="31"/>
    </row>
    <row r="26" spans="1:10" ht="49.05" customHeight="1" x14ac:dyDescent="0.3">
      <c r="A26" s="5">
        <v>20</v>
      </c>
      <c r="B26" s="5" t="s">
        <v>27</v>
      </c>
      <c r="C26" s="14" t="s">
        <v>28</v>
      </c>
      <c r="D26" s="15" t="s">
        <v>90</v>
      </c>
      <c r="E26" s="17"/>
      <c r="F26" s="17"/>
      <c r="G26" s="17">
        <f>$F$2*25</f>
        <v>25</v>
      </c>
      <c r="H26" s="29"/>
      <c r="I26" s="11">
        <f t="shared" si="0"/>
        <v>0</v>
      </c>
      <c r="J26" s="35" t="s">
        <v>69</v>
      </c>
    </row>
    <row r="27" spans="1:10" ht="4.95" customHeight="1" x14ac:dyDescent="0.3">
      <c r="A27" s="6"/>
      <c r="B27" s="6"/>
      <c r="C27" s="23"/>
      <c r="D27" s="24"/>
      <c r="E27" s="22"/>
      <c r="F27" s="22"/>
      <c r="G27" s="22"/>
      <c r="H27" s="29"/>
      <c r="I27" s="11">
        <f t="shared" si="0"/>
        <v>0</v>
      </c>
      <c r="J27" s="31"/>
    </row>
    <row r="28" spans="1:10" ht="49.05" customHeight="1" x14ac:dyDescent="0.3">
      <c r="A28" s="5">
        <v>21</v>
      </c>
      <c r="B28" s="5" t="s">
        <v>29</v>
      </c>
      <c r="C28" s="14" t="s">
        <v>32</v>
      </c>
      <c r="D28" s="15" t="s">
        <v>43</v>
      </c>
      <c r="E28" s="17"/>
      <c r="F28" s="17"/>
      <c r="G28" s="17">
        <f>$F$2*24</f>
        <v>24</v>
      </c>
      <c r="H28" s="28">
        <v>0</v>
      </c>
      <c r="I28" s="11">
        <f t="shared" si="0"/>
        <v>0</v>
      </c>
      <c r="J28" s="32" t="s">
        <v>66</v>
      </c>
    </row>
    <row r="29" spans="1:10" ht="49.05" customHeight="1" x14ac:dyDescent="0.3">
      <c r="A29" s="5">
        <v>22</v>
      </c>
      <c r="B29" s="5" t="s">
        <v>31</v>
      </c>
      <c r="C29" s="14" t="s">
        <v>33</v>
      </c>
      <c r="D29" s="15" t="s">
        <v>44</v>
      </c>
      <c r="E29" s="17"/>
      <c r="F29" s="17"/>
      <c r="G29" s="17">
        <f>$F$2*12</f>
        <v>12</v>
      </c>
      <c r="H29" s="29"/>
      <c r="I29" s="11">
        <f t="shared" si="0"/>
        <v>0</v>
      </c>
      <c r="J29" s="31"/>
    </row>
    <row r="30" spans="1:10" ht="49.05" customHeight="1" x14ac:dyDescent="0.3">
      <c r="A30" s="5">
        <v>23</v>
      </c>
      <c r="B30" s="5" t="s">
        <v>74</v>
      </c>
      <c r="C30" s="14" t="s">
        <v>75</v>
      </c>
      <c r="D30" s="15" t="s">
        <v>43</v>
      </c>
      <c r="E30" s="17"/>
      <c r="F30" s="17"/>
      <c r="G30" s="17">
        <f>$F$2*28</f>
        <v>28</v>
      </c>
      <c r="H30" s="28"/>
      <c r="I30" s="11">
        <f t="shared" ref="I30" si="1">(E30+F30+G30)*H30</f>
        <v>0</v>
      </c>
      <c r="J30" s="32" t="s">
        <v>66</v>
      </c>
    </row>
    <row r="31" spans="1:10" ht="49.05" customHeight="1" x14ac:dyDescent="0.3">
      <c r="A31" s="5">
        <v>24</v>
      </c>
      <c r="B31" s="5" t="s">
        <v>76</v>
      </c>
      <c r="C31" s="14" t="s">
        <v>77</v>
      </c>
      <c r="D31" s="15" t="s">
        <v>44</v>
      </c>
      <c r="E31" s="17"/>
      <c r="F31" s="17"/>
      <c r="G31" s="17">
        <f>$F$2*14</f>
        <v>14</v>
      </c>
      <c r="H31" s="29"/>
      <c r="I31" s="11">
        <f t="shared" ref="I31" si="2">(E31+F31+G31)*H31</f>
        <v>0</v>
      </c>
      <c r="J31" s="31"/>
    </row>
    <row r="32" spans="1:10" ht="49.05" customHeight="1" x14ac:dyDescent="0.3">
      <c r="A32" s="5">
        <v>25</v>
      </c>
      <c r="B32" s="5" t="s">
        <v>78</v>
      </c>
      <c r="C32" s="14" t="s">
        <v>79</v>
      </c>
      <c r="D32" s="15" t="s">
        <v>81</v>
      </c>
      <c r="E32" s="17"/>
      <c r="F32" s="17"/>
      <c r="G32" s="17">
        <f>$F$2*44</f>
        <v>44</v>
      </c>
      <c r="H32" s="29"/>
      <c r="I32" s="11">
        <f t="shared" ref="I32" si="3">(E32+F32+G32)*H32</f>
        <v>0</v>
      </c>
      <c r="J32" s="36" t="s">
        <v>80</v>
      </c>
    </row>
    <row r="33" spans="1:10" ht="49.05" customHeight="1" x14ac:dyDescent="0.3">
      <c r="A33" s="5">
        <v>26</v>
      </c>
      <c r="B33" s="5" t="s">
        <v>94</v>
      </c>
      <c r="C33" s="14" t="s">
        <v>95</v>
      </c>
      <c r="D33" s="50" t="s">
        <v>115</v>
      </c>
      <c r="E33" s="17"/>
      <c r="F33" s="17"/>
      <c r="G33" s="17">
        <v>10</v>
      </c>
      <c r="H33" s="29"/>
      <c r="I33" s="11">
        <f t="shared" ref="I33" si="4">(E33+F33+G33)*H33</f>
        <v>0</v>
      </c>
      <c r="J33" s="36"/>
    </row>
    <row r="34" spans="1:10" ht="49.05" customHeight="1" x14ac:dyDescent="0.3">
      <c r="A34" s="5">
        <v>27</v>
      </c>
      <c r="B34" s="5" t="s">
        <v>54</v>
      </c>
      <c r="C34" s="14" t="s">
        <v>55</v>
      </c>
      <c r="D34" s="15" t="s">
        <v>73</v>
      </c>
      <c r="E34" s="17"/>
      <c r="F34" s="17"/>
      <c r="G34" s="17">
        <f>$F$2*90</f>
        <v>90</v>
      </c>
      <c r="H34" s="29"/>
      <c r="I34" s="11">
        <f t="shared" si="0"/>
        <v>0</v>
      </c>
      <c r="J34" s="35" t="s">
        <v>67</v>
      </c>
    </row>
    <row r="35" spans="1:10" ht="4.95" customHeight="1" x14ac:dyDescent="0.3">
      <c r="A35" s="6"/>
      <c r="B35" s="6"/>
      <c r="C35" s="23"/>
      <c r="D35" s="24"/>
      <c r="E35" s="22"/>
      <c r="F35" s="22"/>
      <c r="G35" s="22"/>
      <c r="H35" s="29"/>
      <c r="I35" s="11">
        <f t="shared" si="0"/>
        <v>0</v>
      </c>
      <c r="J35" s="31"/>
    </row>
    <row r="36" spans="1:10" ht="49.05" customHeight="1" x14ac:dyDescent="0.3">
      <c r="A36" s="5">
        <v>28</v>
      </c>
      <c r="B36" s="5" t="s">
        <v>56</v>
      </c>
      <c r="C36" s="14" t="s">
        <v>57</v>
      </c>
      <c r="D36" s="15" t="s">
        <v>92</v>
      </c>
      <c r="E36" s="17">
        <f>$F$2*20</f>
        <v>20</v>
      </c>
      <c r="F36" s="17"/>
      <c r="G36" s="17"/>
      <c r="H36" s="29"/>
      <c r="I36" s="11">
        <f t="shared" si="0"/>
        <v>0</v>
      </c>
      <c r="J36" s="31"/>
    </row>
    <row r="37" spans="1:10" ht="49.05" customHeight="1" x14ac:dyDescent="0.3">
      <c r="A37" s="5">
        <v>29</v>
      </c>
      <c r="B37" s="5" t="s">
        <v>58</v>
      </c>
      <c r="C37" s="14" t="s">
        <v>58</v>
      </c>
      <c r="D37" s="15" t="s">
        <v>91</v>
      </c>
      <c r="E37" s="17"/>
      <c r="F37" s="17"/>
      <c r="G37" s="17">
        <f>$F$2*40</f>
        <v>40</v>
      </c>
      <c r="H37" s="29"/>
      <c r="I37" s="11">
        <f t="shared" si="0"/>
        <v>0</v>
      </c>
      <c r="J37" s="31"/>
    </row>
    <row r="38" spans="1:10" ht="49.05" customHeight="1" x14ac:dyDescent="0.3">
      <c r="A38" s="5">
        <v>30</v>
      </c>
      <c r="B38" s="5" t="s">
        <v>59</v>
      </c>
      <c r="C38" s="14" t="s">
        <v>60</v>
      </c>
      <c r="D38" s="50" t="s">
        <v>131</v>
      </c>
      <c r="E38" s="17">
        <v>20</v>
      </c>
      <c r="F38" s="17"/>
      <c r="G38" s="17"/>
      <c r="H38" s="29"/>
      <c r="I38" s="11">
        <f t="shared" si="0"/>
        <v>0</v>
      </c>
      <c r="J38" s="31"/>
    </row>
    <row r="39" spans="1:10" ht="43.05" customHeight="1" x14ac:dyDescent="0.3">
      <c r="A39" s="48">
        <v>31</v>
      </c>
      <c r="B39" s="5" t="s">
        <v>61</v>
      </c>
      <c r="C39" s="14" t="s">
        <v>62</v>
      </c>
      <c r="D39" s="15" t="s">
        <v>93</v>
      </c>
      <c r="E39" s="17"/>
      <c r="F39" s="17"/>
      <c r="G39" s="17">
        <f>$F$2*10</f>
        <v>10</v>
      </c>
      <c r="H39" s="29"/>
      <c r="I39" s="11">
        <f t="shared" si="0"/>
        <v>0</v>
      </c>
      <c r="J39" s="31"/>
    </row>
    <row r="40" spans="1:10" ht="4.95" hidden="1" customHeight="1" x14ac:dyDescent="0.3">
      <c r="A40" s="48">
        <v>31</v>
      </c>
      <c r="B40" s="6"/>
      <c r="C40" s="23"/>
      <c r="D40" s="24"/>
      <c r="E40" s="22"/>
      <c r="F40" s="22"/>
      <c r="G40" s="22"/>
      <c r="H40" s="29"/>
      <c r="I40" s="11">
        <f t="shared" si="0"/>
        <v>0</v>
      </c>
      <c r="J40" s="31"/>
    </row>
    <row r="41" spans="1:10" ht="75" customHeight="1" x14ac:dyDescent="0.3">
      <c r="A41" s="48">
        <v>32</v>
      </c>
      <c r="B41" s="5" t="s">
        <v>34</v>
      </c>
      <c r="C41" s="14" t="s">
        <v>34</v>
      </c>
      <c r="D41" s="15" t="s">
        <v>132</v>
      </c>
      <c r="E41" s="17"/>
      <c r="F41" s="17"/>
      <c r="G41" s="17">
        <f>$F$2*40</f>
        <v>40</v>
      </c>
      <c r="H41" s="28">
        <v>0</v>
      </c>
      <c r="I41" s="11">
        <f t="shared" si="0"/>
        <v>0</v>
      </c>
      <c r="J41" s="36" t="s">
        <v>116</v>
      </c>
    </row>
    <row r="42" spans="1:10" ht="4.95" customHeight="1" x14ac:dyDescent="0.3">
      <c r="A42" s="6"/>
      <c r="B42" s="6"/>
      <c r="C42" s="23"/>
      <c r="D42" s="24"/>
      <c r="E42" s="22"/>
      <c r="F42" s="22"/>
      <c r="G42" s="22"/>
      <c r="H42" s="29"/>
      <c r="I42" s="11">
        <f t="shared" si="0"/>
        <v>0</v>
      </c>
      <c r="J42" s="31"/>
    </row>
    <row r="43" spans="1:10" ht="54" customHeight="1" x14ac:dyDescent="0.3">
      <c r="A43" s="5">
        <v>33</v>
      </c>
      <c r="B43" s="5" t="s">
        <v>97</v>
      </c>
      <c r="C43" s="14" t="s">
        <v>96</v>
      </c>
      <c r="D43" s="50" t="s">
        <v>124</v>
      </c>
      <c r="E43" s="17">
        <v>20</v>
      </c>
      <c r="F43" s="17"/>
      <c r="G43" s="17"/>
      <c r="H43" s="29"/>
      <c r="I43" s="11">
        <f t="shared" si="0"/>
        <v>0</v>
      </c>
      <c r="J43" s="52" t="s">
        <v>98</v>
      </c>
    </row>
    <row r="44" spans="1:10" ht="54" customHeight="1" x14ac:dyDescent="0.3">
      <c r="A44" s="5">
        <v>34</v>
      </c>
      <c r="B44" s="5" t="s">
        <v>100</v>
      </c>
      <c r="C44" s="14" t="s">
        <v>99</v>
      </c>
      <c r="D44" s="15" t="s">
        <v>101</v>
      </c>
      <c r="E44" s="17">
        <v>20</v>
      </c>
      <c r="F44" s="17"/>
      <c r="G44" s="17"/>
      <c r="H44" s="29"/>
      <c r="I44" s="11">
        <f t="shared" si="0"/>
        <v>0</v>
      </c>
      <c r="J44" s="36" t="s">
        <v>98</v>
      </c>
    </row>
    <row r="45" spans="1:10" ht="54" customHeight="1" x14ac:dyDescent="0.3">
      <c r="A45" s="5">
        <v>35</v>
      </c>
      <c r="B45" s="5" t="s">
        <v>117</v>
      </c>
      <c r="C45" s="14" t="s">
        <v>127</v>
      </c>
      <c r="D45" s="15" t="s">
        <v>128</v>
      </c>
      <c r="E45" s="17"/>
      <c r="F45" s="17"/>
      <c r="G45" s="17">
        <v>20</v>
      </c>
      <c r="H45" s="29"/>
      <c r="I45" s="11"/>
      <c r="J45" s="36"/>
    </row>
    <row r="46" spans="1:10" ht="54" customHeight="1" x14ac:dyDescent="0.3">
      <c r="A46" s="5">
        <v>36</v>
      </c>
      <c r="B46" s="5" t="s">
        <v>118</v>
      </c>
      <c r="C46" s="14" t="s">
        <v>129</v>
      </c>
      <c r="D46" s="15" t="s">
        <v>133</v>
      </c>
      <c r="E46" s="17"/>
      <c r="F46" s="17"/>
      <c r="G46" s="17">
        <v>30</v>
      </c>
      <c r="H46" s="29"/>
      <c r="I46" s="11"/>
      <c r="J46" s="36"/>
    </row>
    <row r="47" spans="1:10" ht="66" customHeight="1" x14ac:dyDescent="0.3">
      <c r="A47" s="5">
        <v>37</v>
      </c>
      <c r="B47" s="5" t="s">
        <v>109</v>
      </c>
      <c r="C47" s="14" t="s">
        <v>103</v>
      </c>
      <c r="D47" s="50" t="s">
        <v>125</v>
      </c>
      <c r="E47" s="17"/>
      <c r="F47" s="17"/>
      <c r="G47" s="17">
        <f>$F$2*60</f>
        <v>60</v>
      </c>
      <c r="H47" s="29"/>
      <c r="I47" s="11">
        <f>(E47+F47+G47)*H47</f>
        <v>0</v>
      </c>
      <c r="J47" s="36" t="s">
        <v>86</v>
      </c>
    </row>
    <row r="48" spans="1:10" ht="51" customHeight="1" x14ac:dyDescent="0.3">
      <c r="A48" s="5">
        <v>38</v>
      </c>
      <c r="B48" s="5" t="s">
        <v>110</v>
      </c>
      <c r="C48" s="14" t="s">
        <v>102</v>
      </c>
      <c r="D48" s="50" t="s">
        <v>126</v>
      </c>
      <c r="E48" s="18" t="s">
        <v>82</v>
      </c>
      <c r="F48" s="18" t="s">
        <v>82</v>
      </c>
      <c r="G48" s="17"/>
      <c r="H48" s="29"/>
      <c r="I48" s="44"/>
      <c r="J48" s="36" t="s">
        <v>83</v>
      </c>
    </row>
    <row r="49" spans="1:10" ht="55.2" x14ac:dyDescent="0.3">
      <c r="A49" s="5">
        <v>39</v>
      </c>
      <c r="B49" s="5" t="s">
        <v>63</v>
      </c>
      <c r="C49" s="14" t="s">
        <v>68</v>
      </c>
      <c r="D49" s="15" t="s">
        <v>70</v>
      </c>
      <c r="E49" s="17"/>
      <c r="F49" s="17">
        <v>86.24</v>
      </c>
      <c r="G49" s="17"/>
      <c r="H49" s="29"/>
      <c r="I49" s="11">
        <f t="shared" ref="I49" si="5">(E49+F49+G49)*H49</f>
        <v>0</v>
      </c>
      <c r="J49" s="36" t="s">
        <v>85</v>
      </c>
    </row>
    <row r="51" spans="1:10" x14ac:dyDescent="0.35">
      <c r="H51" s="40" t="s">
        <v>84</v>
      </c>
      <c r="I51" s="41">
        <f>SUM(I5:I49)</f>
        <v>0</v>
      </c>
    </row>
  </sheetData>
  <sheetProtection selectLockedCells="1"/>
  <phoneticPr fontId="1" type="noConversion"/>
  <pageMargins left="0.7" right="0.7" top="0.75" bottom="0.75" header="0.3" footer="0.3"/>
  <pageSetup scale="58"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Schedule</vt:lpstr>
      <vt:lpstr>'Cost Schedule'!Print_Area</vt:lpstr>
    </vt:vector>
  </TitlesOfParts>
  <Company>Univ.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Higashi</dc:creator>
  <cp:lastModifiedBy>Frazier, Rebekah S.</cp:lastModifiedBy>
  <cp:lastPrinted>2014-09-08T02:45:23Z</cp:lastPrinted>
  <dcterms:created xsi:type="dcterms:W3CDTF">2012-11-08T17:36:11Z</dcterms:created>
  <dcterms:modified xsi:type="dcterms:W3CDTF">2022-07-07T15:47:25Z</dcterms:modified>
</cp:coreProperties>
</file>